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profibercz.sharepoint.com/sites/PROFiber/Men a expertizy/2021-01_NGA-NGN-VHCN_MPO-CTU/2023-05-03_Anketa GSD/VNICTP/"/>
    </mc:Choice>
  </mc:AlternateContent>
  <xr:revisionPtr revIDLastSave="346" documentId="8_{031706D3-3E3E-4EAD-A5D0-81EE135CAEC4}" xr6:coauthVersionLast="47" xr6:coauthVersionMax="47" xr10:uidLastSave="{4D10AA73-AD8D-4B46-BCC1-E1A1FD57032F}"/>
  <bookViews>
    <workbookView xWindow="-110" yWindow="-110" windowWidth="19420" windowHeight="10420" xr2:uid="{00000000-000D-0000-FFFF-FFFF00000000}"/>
  </bookViews>
  <sheets>
    <sheet name="Odpovědi formuláře 1" sheetId="1" r:id="rId1"/>
    <sheet name="Lis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 l="1"/>
  <c r="D41" i="1"/>
  <c r="E41" i="1"/>
  <c r="L44" i="1"/>
  <c r="L41" i="1"/>
  <c r="K36" i="1"/>
  <c r="K39" i="1"/>
  <c r="K35" i="1"/>
  <c r="K33" i="1"/>
  <c r="K32" i="1"/>
  <c r="K31" i="1"/>
  <c r="K29" i="1"/>
  <c r="K27" i="1"/>
  <c r="K26" i="1"/>
  <c r="K23" i="1"/>
  <c r="K22" i="1"/>
  <c r="K21" i="1"/>
  <c r="K17" i="1"/>
  <c r="K14" i="1"/>
  <c r="K15" i="1"/>
  <c r="K13" i="1"/>
  <c r="K10" i="1"/>
  <c r="K2" i="1"/>
  <c r="G41" i="1"/>
  <c r="I48" i="1"/>
  <c r="I45" i="1"/>
  <c r="I41" i="1"/>
  <c r="G71" i="1"/>
  <c r="G58" i="1"/>
  <c r="G55" i="1"/>
  <c r="G52" i="1"/>
  <c r="G49" i="1"/>
  <c r="G64" i="1" s="1"/>
  <c r="G45" i="1"/>
  <c r="H58" i="1"/>
  <c r="H55" i="1"/>
  <c r="H52" i="1"/>
  <c r="H49" i="1"/>
  <c r="H66" i="1" s="1"/>
  <c r="H41" i="1"/>
  <c r="C48" i="1"/>
  <c r="C41" i="1"/>
  <c r="C45" i="1"/>
  <c r="G68" i="1" l="1"/>
  <c r="G74" i="1" s="1"/>
  <c r="H64" i="1"/>
  <c r="H68" i="1" s="1"/>
  <c r="G66" i="1"/>
  <c r="K41" i="1"/>
  <c r="H50" i="1"/>
  <c r="C49" i="1"/>
  <c r="K44" i="1"/>
  <c r="H59" i="1"/>
  <c r="H60" i="1"/>
  <c r="I46" i="1"/>
  <c r="I49" i="1"/>
  <c r="G50" i="1"/>
  <c r="G53" i="1"/>
  <c r="G56" i="1"/>
  <c r="G59" i="1"/>
  <c r="G60" i="1"/>
  <c r="C46" i="1"/>
  <c r="H53" i="1"/>
  <c r="H56" i="1"/>
  <c r="K48" i="1" l="1"/>
  <c r="L51" i="1" s="1"/>
  <c r="L53" i="1" s="1"/>
  <c r="K46" i="1"/>
  <c r="L50" i="1" s="1"/>
</calcChain>
</file>

<file path=xl/sharedStrings.xml><?xml version="1.0" encoding="utf-8"?>
<sst xmlns="http://schemas.openxmlformats.org/spreadsheetml/2006/main" count="274" uniqueCount="136">
  <si>
    <t>Časová značka</t>
  </si>
  <si>
    <t>Připadají vám návodné pokyny k vyplňování geografických údajů formuláře ART222 dostatečně srozumitelné?</t>
  </si>
  <si>
    <t>Jaké zlepšení ohledně vyplňování geografických údajů formuláře ART222 navrhujete?</t>
  </si>
  <si>
    <t>Jaká je pracnost přípravy a odeslání geografických dat pro formulář ART222?</t>
  </si>
  <si>
    <t>Jak vysoké odhadujete náklady na přípravu a odeslání geografických dat pro formulář ART222? (v hodinách práce)</t>
  </si>
  <si>
    <t>Kolik disponibilních přípojek vaše firma vykázala?</t>
  </si>
  <si>
    <t>Kolik disponibilních přípojek vaše firma vykázala</t>
  </si>
  <si>
    <t>Uvítali byste možnost odevzdávání dat pomocí API?</t>
  </si>
  <si>
    <t>Ano</t>
  </si>
  <si>
    <t>Umožnit skrývání sekcí, které nevyplňuji vůbec a také dočasné skrývání, pokud vyplňuji jinou kapitolu. Po uložení musím opět vše poskrývat a najít si místo, které upravuji.
Celkově je nutné přepsat tento starý systém za něco s adekvátním UX.
Konečně po 10 letech opravit validaci dat. Úředníci s titulem Ing. nedokáží pochopit, že 5 + 1 != 5! Je to únavné a zbytečné.</t>
  </si>
  <si>
    <t>Obrovská. Formulář je špatně datově navržen, i když předáváme data přes CSV, je nutné každý rok generování předělat, protože adresace položek se celá posune.
10 let je tam tato hrůza!</t>
  </si>
  <si>
    <t>desítky hodin, pak hodiny dohadování při opakovaném vracení z často nesmyslných důvodů</t>
  </si>
  <si>
    <t>1 001 až 10 000</t>
  </si>
  <si>
    <t>Zjednoduseni (vyplnovat mene poli).</t>
  </si>
  <si>
    <t>Pokud si neplatite nejaky soft, tak hodne velka. I kdyz jsou to duverne informace nemam dale o nich prehled. Podnikani v telekomunikacich je podnikani jako kazde jine,  neni duvod poskytovat svoje zakazniky dal. Ti co maji lidi na zpracovani podkladu pro dotace jsou vevelke vyhode. Ti co na to nemaji rozviji sit ze Svých zdroju..</t>
  </si>
  <si>
    <t xml:space="preserve">2hodiny prace </t>
  </si>
  <si>
    <t>max 1 000</t>
  </si>
  <si>
    <t>Aspon poradit, jak se chovat k tomu, kdyz pripojka ma max GPS souradnice, ktere ke kazde ve svem systemu take eviduji, ale c.p. ani ev.c. nema :-)</t>
  </si>
  <si>
    <t>Jsem liny, takze i ta hodina je moc. Je fakt, ze hodina je to az po tech letech trapeni, kdy poprve to bylo hodin nekolik. Od te doby to vypnovani mam v nelibosti, ale tak desive to uz neni..o to jim asi slo :-)</t>
  </si>
  <si>
    <t>Podle toho, zda mam jinou praci nebo nemam. Za obetovani “volneho” casu si uctuji nejvice, kdyz to necham treba na poslwdni chvili, jakoze bezne ano a vyjde to na nedeli, to treba 2000Kc v tydnu miste neceho nudnejsiho treba 500Kc</t>
  </si>
  <si>
    <t>Ne</t>
  </si>
  <si>
    <t>rapdní zjednodušení a hlavně stabilizaci - neměnit každý rok</t>
  </si>
  <si>
    <t>Formulář ART222 považuji za legislativní terorismus a jeho tvůrce absolutně nenávidím.</t>
  </si>
  <si>
    <t>Pokud bychom měli vše udělat dokonale jak ČTÚ pžaduje, byly by to přijemenším statisíce. Horší je ale trauma, které nám řešení nestále se měníciho a nesmyslně přebobtnlého formuláře způsobuje.</t>
  </si>
  <si>
    <t>10 001 až 100 000</t>
  </si>
  <si>
    <t>Zrušit vyplňování geografických údajů.</t>
  </si>
  <si>
    <t>Dost náročná.</t>
  </si>
  <si>
    <t>Do 5000,-Kč</t>
  </si>
  <si>
    <t>Zrušit ho. Pokud někdo (starosta obce a pod.) bude řešit problém nedostatečného pokrytí lokality telekomunikační infrastrukturou, nechť si si úřad udělá šetření per lokalita, případně nechť tam zajede některý z mnoha kvalifikovaných úředníků ČTÚ na místní šetření.</t>
  </si>
  <si>
    <t xml:space="preserve">Byť většinu dat doplňujeme strojově, je dovyplnění zbytku dat a následná kontrola práce na 2 pracovní dny. V případě malých poskytovatelů to musí být práce na týdny, nebo při vymýšlení dat v řádu dní. </t>
  </si>
  <si>
    <t>v našem případě cca 30 tis. Kč.</t>
  </si>
  <si>
    <t>Data by se měla odevzdávat dříve po ukončení období, problém je v v archivních datech něco upravovat</t>
  </si>
  <si>
    <t>Bohužel naše výstupy nesedí kvůli častím změnám formulářu, tak je velký podíl roční práce asi 4 hod za jednu firmu</t>
  </si>
  <si>
    <t>4hod</t>
  </si>
  <si>
    <t>viz níže</t>
  </si>
  <si>
    <t>Relativně častá změna struktury dat, kterou čtú vyžaduje nás stojí desítky hodin vývojářských prací v informačních systémech. Příprava těchto dat je tedy hlavně velmi drahá.</t>
  </si>
  <si>
    <t>30 hodin vývojáře, 15 člověko hodin práce nad tím, jak informace získat z informačního systému</t>
  </si>
  <si>
    <t>Nutnost vyplňovat pouze pro operátory s více než XX tisíci přípojkami.</t>
  </si>
  <si>
    <t>Velká, v řádu desítek hodin.</t>
  </si>
  <si>
    <t>Cca 10-15000 Kč.</t>
  </si>
  <si>
    <t>max. 200</t>
  </si>
  <si>
    <t xml:space="preserve">Rozhodně bych ocenil, aby tam byl automaticky doplněn předešlí rok, který bych si stáhnul a porovnal s aktuálním. Já bych potom jen přidal nové, změnil tam kde proběhla změna a smazal zrušené. </t>
  </si>
  <si>
    <t xml:space="preserve">nyní musím z naší databáze provést export linek a upravit je do podoby vhodné pro import do Vašeho formuláře. Pokud bych již stáhl historické údaje z předešlého roku, jen bych pouze modifikoval. </t>
  </si>
  <si>
    <t>8 hodin</t>
  </si>
  <si>
    <t>cca 0.5 MD práce</t>
  </si>
  <si>
    <t>Týden</t>
  </si>
  <si>
    <t>Zjednodušení, lepší přehlednost a pořád neměnit strukturu a dotazy. Neduplikovat dotazy, například o provozu v mobilních sítích.</t>
  </si>
  <si>
    <t>hodiny až jednotky dní práce dvou lidí</t>
  </si>
  <si>
    <t>více než 100 000</t>
  </si>
  <si>
    <t>Velice pracné, každý další nový údaj, který ČTÚ požaduje, musíme zapracovat do systému a musí dojít k úpravě dat.</t>
  </si>
  <si>
    <t>30 hodin</t>
  </si>
  <si>
    <t>cca 42 tisíc.</t>
  </si>
  <si>
    <t>definitivně ujednotit podpobu formuláře a neprovádět každý rok změny</t>
  </si>
  <si>
    <t>velmi vysoká</t>
  </si>
  <si>
    <t>1001-10000</t>
  </si>
  <si>
    <t>Nepozadovat je.</t>
  </si>
  <si>
    <t>Velika.</t>
  </si>
  <si>
    <t>50-100hodin</t>
  </si>
  <si>
    <t>cca 100tis.</t>
  </si>
  <si>
    <t>Jednoduše na mapě naklikat kde uživatel bydlí. Nejsou tam parcelní čisla, někdy chybí i čisla popisné. Vybrat připojeného klienta a  pak intutivině doplnovat informace.  hlavně aby se načetla data z lonska!!</t>
  </si>
  <si>
    <t>dlouha, zatěžujíci</t>
  </si>
  <si>
    <t xml:space="preserve">5 hodin práce </t>
  </si>
  <si>
    <t>Masivní zjednodušení v objemu odevzdávaných dat, jejichž validitu stejně nikdo nemá šanci zodpovědně ověřit. Při menší náročnosti by možná i menší firmy měli vůli odevzdávat relevantní data. A ne se jen trefovat do nesmyslných potřeb ČTU s vizí, tak jim tam napíšeme co chtějí (cokoli) jen ať dají pokoj...</t>
  </si>
  <si>
    <t>Týdny, ČTU dokola připomínkuje, vrací a mění svůj pohled dle toho jak se asi vyspí, už jsem ztratil vůli v tom hledat logiku). Každé roční odevzdání vyžaduje velkou porci práce SW vývojářů na úpravě exportu dat, které mnohdy ani neevidujeme, takže je to taková docela kreativní činnost :) aneb jak odevzdat něco co nemáme. Struktura se mění každý rok a info o tom je předem velmi špatné až zcela žádné. Kdyby třeba teď 2023 řekli, že v 3.2025 kdy se odevzdávají data za 2024 budeme vyžadovat "tento formát a tyto data", tak by se to možná dalo pochopit a data mít, ale chtíti nová data zpětně, to si opravdu myslí, že dostanou relevantní data...?</t>
  </si>
  <si>
    <t>160 hodin</t>
  </si>
  <si>
    <t>24tis</t>
  </si>
  <si>
    <t>Zjednodušit. Ruian OK, ale ne různé agendy pro dotace (typu VHCN atd) , s tím jdete do háje a kompletně zrušte VEŠKERÉ dotace do telco. A hlavně: ponechte to 10 let stejné. Gemius Net monitor má také 10 let stejné otázky</t>
  </si>
  <si>
    <t xml:space="preserve">Pro firmu velikosti malé restaurace? Musel bych být sprostý. </t>
  </si>
  <si>
    <t>S ohledem na nekvalitní výstupy z informačního systému je nutné výrazné doplňující zpracování</t>
  </si>
  <si>
    <t xml:space="preserve">Hlavně už nic nepřidávat a neměnit </t>
  </si>
  <si>
    <t>Kdybych neměl ISPA řešení, tak se z toho opupínkuji :-)</t>
  </si>
  <si>
    <t>Důvod k uvádění geografických údajů vůbec jak byl obhajován ČTU kvůli dotacím z EU pro rozvoj infastruktury do roku 2021 na které stejně nedokáže běžný ISP v ČR dosáhnout krom velké trojky na trhu, již dávno pominul, proto považuji tento údaj za naprosto zbytečný. Návrh na zlepšení je tedy tento i do jisté míry osobní údaj úplně zrušit, může být snadno díky veřejné digitální mapě zneužit v konkurenčním prostředí. Mohli bychom tak do budoucna chtít veřejně sbírat od populace kolik se na jaké adresní místo vypije piv, spotřebuje kondomů, použije toaletního papíru apod.</t>
  </si>
  <si>
    <t>Pokud zohledním i technické přípravy a inventuru údajů v systému aby vypovídala dle požadavku ČTU tak minimálně týden zabité administrativy.</t>
  </si>
  <si>
    <t>min. 80 hodin</t>
  </si>
  <si>
    <t>viz. odpověď níže</t>
  </si>
  <si>
    <t>Zrušit</t>
  </si>
  <si>
    <t>1 den, někdy i víc</t>
  </si>
  <si>
    <t>1 MD</t>
  </si>
  <si>
    <t>zrušit adresnost a nahradit lokalitou (pouze název obce a podobně)</t>
  </si>
  <si>
    <t>velmi náročná</t>
  </si>
  <si>
    <t>Pozadovany rozsah vyplnovanych informaci je prilis rozsahly</t>
  </si>
  <si>
    <t>Velka</t>
  </si>
  <si>
    <t>nějaké api - jednotnost formuláře, tak aby jej bylo možné automaticky vygenerovat ze systému jako je např. ISPAdmin</t>
  </si>
  <si>
    <t>vždy je nutné upravit generující skript pro dané sloupce a neplatné údaje opravit. Několik dní.</t>
  </si>
  <si>
    <t>16-32</t>
  </si>
  <si>
    <t>Neodesílat tak podrobná data. Navíc ekonomické údaje v půlce března nemám. Zlepšení, aspoň neměnit co dva roky strukturu dat. Lépe, mít možnost nevyplňovat vůbec. Je to otrava.</t>
  </si>
  <si>
    <t>Velká, formulář vyplňuji roky. První co mě děsí je, co zase budou chtít za nová data, která nemám. Několikrát jsem s velkým úsilím doprogramovával generování dat, ručně to vyplňovat je při množství 100+ nesmysl, natož v tisících</t>
  </si>
  <si>
    <t>Úplně zrušit</t>
  </si>
  <si>
    <t>veliká</t>
  </si>
  <si>
    <t>24-30</t>
  </si>
  <si>
    <t>Připojujeme řadu objektů, které prozatím nebo dlouhodobě nemají definovaný RUIAN kod. Také není jasné, v jaký moment např. na pronajatém okruhu či barvě na vlákně (lambdě) spadá do odpovědnosti našeho hlášení (protože tam máme maloobchodní zákazníky) a kdy to spadá do odpovědnosti ISP, od kterého si služby pronajímáme. A i když se požadované parametry ustály, tak v minulých letech vlastně nebylo jasné, jaké parametry přípojek bude regulátor na konci roku chtít sledovat (od té doby jsme parametry tarifů částečně pozměnili tak, aby se formulář snadno odevzdával)</t>
  </si>
  <si>
    <t>Vysoká. Formát se meziročně mění a já musím přepisovat skripty, které přepracovávají údaje  z našich databází do požadovaného formátu. Kromě toho sledujeme u přípojek a tarifů lehce jiné ukazatele, než ČTú vyžaduje a někdy zkrátka nemám jistotu, že vše odevzdávám správně (měl jsem debaty o "převažující technologii" u optických ostrovů za bezdrátem, apod.)</t>
  </si>
  <si>
    <t>asi 1500</t>
  </si>
  <si>
    <t>!!!NESKUTEČNÁ!!!!</t>
  </si>
  <si>
    <t>Zrušit, zbytečná administrativa. ČTU by měl kontrolovat a podporovat Konkurenční/Tržní prostředí, ne regulace, dotace. Když je někde velká konkurence, tak se hledají místa (bílé místa), kde by se ještě dali připojit lidi, zkvalitňují se služby - to je jediná cesta.</t>
  </si>
  <si>
    <t>Velká</t>
  </si>
  <si>
    <t>hodně</t>
  </si>
  <si>
    <t>Bylo by dobré, kdyby se nemuselo vyplňovat takové množství informací - kor pokud se to dělá pro velké množství firem</t>
  </si>
  <si>
    <t>Ohromná, protože se každý rok formulář trochu změní a je potřeba upravovat systémy, díky kterým data poskytujeme. Jedná se u nás o jednotky stovek hodin práce lidí, kteří by se mohli věnovat něčemu jinému.</t>
  </si>
  <si>
    <t>500 000 Kč cca</t>
  </si>
  <si>
    <t>V sumě zhruba 600 000</t>
  </si>
  <si>
    <t>Vytvořit API a neměnit struktury dat.</t>
  </si>
  <si>
    <t>Vysoká, jelikož se požadavky a struktura formuláře každý rok mění. Neexistuje možnost strojového zpracování.</t>
  </si>
  <si>
    <t>zjednodušení: množství dat a informací, ustálení požadavků, přenos z našich systémů</t>
  </si>
  <si>
    <t>desítky hodin</t>
  </si>
  <si>
    <t>Špatně se vyhledává konkrétní adresa</t>
  </si>
  <si>
    <t xml:space="preserve">Při počtu klientů &gt; 500 to je bez elektronického zpracování skoro neřešitelné.I těch 500 je na pováženou.
</t>
  </si>
  <si>
    <t>55 hodin</t>
  </si>
  <si>
    <t>celkové zjednodušení formulace i vyplňování</t>
  </si>
  <si>
    <t>cca 1 den</t>
  </si>
  <si>
    <t>cca 8</t>
  </si>
  <si>
    <t>neměnit strukturu každý rok</t>
  </si>
  <si>
    <t>velká, neboť se každý rok upravují sbírané údaje. Byť to z pohledu ČTÚ může vypadat jako kosmetická změna, na straně našich systémů, ze kterých se data skládají dohromady to je mnohdy velmi pracné, vede to k zavlečeným chybám a opakovanému vracení formulářů.</t>
  </si>
  <si>
    <t>z toho</t>
  </si>
  <si>
    <t>celkem odpovědí</t>
  </si>
  <si>
    <t>check</t>
  </si>
  <si>
    <t>součet uvedených</t>
  </si>
  <si>
    <t>odhad NEuvedených</t>
  </si>
  <si>
    <t>celkem odpovědí číslo</t>
  </si>
  <si>
    <t>odhad min:</t>
  </si>
  <si>
    <t xml:space="preserve">odhad max: </t>
  </si>
  <si>
    <t>odhad průměr:</t>
  </si>
  <si>
    <t>součet+zbytek odhad</t>
  </si>
  <si>
    <t>odhad nakladů (ad F)</t>
  </si>
  <si>
    <t>odhad pracnosti (ad F) hod</t>
  </si>
  <si>
    <t>N/A</t>
  </si>
  <si>
    <t>celkem odpovědí s hodinami</t>
  </si>
  <si>
    <t>součet hodin:</t>
  </si>
  <si>
    <t>celkem odpovědí s Kč</t>
  </si>
  <si>
    <t>součet nákladů:</t>
  </si>
  <si>
    <t xml:space="preserve">náklady při 500 Kč/hod: </t>
  </si>
  <si>
    <t xml:space="preserve">náklady při 1000 Kč/hod: </t>
  </si>
  <si>
    <t>odhad nákladů min:</t>
  </si>
  <si>
    <t>odhad nákladů max:</t>
  </si>
  <si>
    <t>cena z přípojku:</t>
  </si>
  <si>
    <t>oblast originálních dat je silně orámována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</si>
</sst>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h:mm:ss"/>
    <numFmt numFmtId="166" formatCode="_-* #,##0.0\ [$Kč-405]_-;\-* #,##0.0\ [$Kč-405]_-;_-* &quot;-&quot;??\ [$Kč-405]_-;_-@_-"/>
    <numFmt numFmtId="167" formatCode="_-* #,##0\ [$Kč-405]_-;\-* #,##0\ [$Kč-405]_-;_-* &quot;-&quot;??\ [$Kč-405]_-;_-@_-"/>
  </numFmts>
  <fonts count="12" x14ac:knownFonts="1">
    <font>
      <sz val="10"/>
      <color rgb="FF000000"/>
      <name val="Arial"/>
      <scheme val="minor"/>
    </font>
    <font>
      <sz val="10"/>
      <color theme="1"/>
      <name val="Arial"/>
      <scheme val="minor"/>
    </font>
    <font>
      <sz val="10"/>
      <color rgb="FF000000"/>
      <name val="Arial"/>
      <scheme val="minor"/>
    </font>
    <font>
      <sz val="10"/>
      <color rgb="FF000000"/>
      <name val="Arial"/>
      <family val="2"/>
      <charset val="238"/>
      <scheme val="minor"/>
    </font>
    <font>
      <sz val="10"/>
      <color theme="0" tint="-0.249977111117893"/>
      <name val="Arial"/>
      <family val="2"/>
      <charset val="238"/>
      <scheme val="minor"/>
    </font>
    <font>
      <sz val="10"/>
      <color theme="1"/>
      <name val="Arial"/>
      <family val="2"/>
      <charset val="238"/>
      <scheme val="minor"/>
    </font>
    <font>
      <b/>
      <sz val="10"/>
      <color rgb="FF000000"/>
      <name val="Arial"/>
      <family val="2"/>
      <charset val="238"/>
      <scheme val="minor"/>
    </font>
    <font>
      <sz val="10"/>
      <color theme="0" tint="-0.499984740745262"/>
      <name val="Arial"/>
      <family val="2"/>
      <charset val="238"/>
      <scheme val="minor"/>
    </font>
    <font>
      <b/>
      <sz val="10"/>
      <color theme="0" tint="-0.499984740745262"/>
      <name val="Arial"/>
      <family val="2"/>
      <charset val="238"/>
      <scheme val="minor"/>
    </font>
    <font>
      <sz val="10"/>
      <color rgb="FF0070C0"/>
      <name val="Arial"/>
      <family val="2"/>
      <charset val="238"/>
      <scheme val="minor"/>
    </font>
    <font>
      <sz val="10"/>
      <name val="Arial"/>
      <family val="2"/>
      <charset val="238"/>
      <scheme val="minor"/>
    </font>
    <font>
      <b/>
      <sz val="10"/>
      <color theme="1"/>
      <name val="Arial"/>
      <family val="2"/>
      <charset val="23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9" fontId="2" fillId="0" borderId="0" applyFont="0" applyFill="0" applyBorder="0" applyAlignment="0" applyProtection="0"/>
  </cellStyleXfs>
  <cellXfs count="50">
    <xf numFmtId="0" fontId="0" fillId="0" borderId="0" xfId="0"/>
    <xf numFmtId="0" fontId="3" fillId="2" borderId="0" xfId="0" applyFont="1" applyFill="1" applyAlignment="1">
      <alignment vertical="top"/>
    </xf>
    <xf numFmtId="3" fontId="0" fillId="2" borderId="0" xfId="0" applyNumberFormat="1" applyFill="1" applyAlignment="1">
      <alignment vertical="top"/>
    </xf>
    <xf numFmtId="0" fontId="7" fillId="2" borderId="0" xfId="0" applyFont="1" applyFill="1" applyAlignment="1">
      <alignment vertical="top"/>
    </xf>
    <xf numFmtId="3" fontId="7" fillId="2" borderId="0" xfId="0" applyNumberFormat="1" applyFont="1" applyFill="1" applyAlignment="1">
      <alignment vertical="top"/>
    </xf>
    <xf numFmtId="0" fontId="1" fillId="0" borderId="0" xfId="0" applyFont="1" applyAlignment="1">
      <alignment vertical="top"/>
    </xf>
    <xf numFmtId="0" fontId="0" fillId="0" borderId="0" xfId="0" applyAlignment="1">
      <alignment vertical="top"/>
    </xf>
    <xf numFmtId="0" fontId="5" fillId="0" borderId="0" xfId="0" applyFont="1" applyAlignment="1">
      <alignment vertical="top"/>
    </xf>
    <xf numFmtId="0" fontId="1" fillId="2" borderId="2" xfId="0" applyFont="1" applyFill="1" applyBorder="1" applyAlignment="1">
      <alignment vertical="top"/>
    </xf>
    <xf numFmtId="0" fontId="0" fillId="2" borderId="3" xfId="0" applyFill="1" applyBorder="1" applyAlignment="1">
      <alignment vertical="top"/>
    </xf>
    <xf numFmtId="9" fontId="0" fillId="2" borderId="4" xfId="1" applyFont="1" applyFill="1" applyBorder="1" applyAlignment="1">
      <alignment vertical="top"/>
    </xf>
    <xf numFmtId="0" fontId="3" fillId="0" borderId="0" xfId="0" applyFont="1" applyAlignment="1">
      <alignment vertical="top"/>
    </xf>
    <xf numFmtId="0" fontId="1" fillId="0" borderId="2" xfId="0" applyFont="1" applyBorder="1" applyAlignment="1">
      <alignment vertical="top"/>
    </xf>
    <xf numFmtId="0" fontId="1" fillId="3" borderId="3" xfId="0" applyFont="1" applyFill="1" applyBorder="1" applyAlignment="1">
      <alignment vertical="top"/>
    </xf>
    <xf numFmtId="0" fontId="1" fillId="0" borderId="3" xfId="0" applyFont="1" applyBorder="1" applyAlignment="1">
      <alignment vertical="top"/>
    </xf>
    <xf numFmtId="9" fontId="0" fillId="0" borderId="4" xfId="1" applyFont="1" applyBorder="1" applyAlignment="1">
      <alignment vertical="top"/>
    </xf>
    <xf numFmtId="0" fontId="4" fillId="0" borderId="0" xfId="0" applyFont="1" applyAlignment="1">
      <alignment vertical="top"/>
    </xf>
    <xf numFmtId="0" fontId="4" fillId="0" borderId="0" xfId="0" applyFont="1" applyAlignment="1">
      <alignment horizontal="right" vertical="top"/>
    </xf>
    <xf numFmtId="3" fontId="8" fillId="2" borderId="0" xfId="0" applyNumberFormat="1" applyFont="1" applyFill="1" applyAlignment="1">
      <alignment vertical="top"/>
    </xf>
    <xf numFmtId="0" fontId="6" fillId="2" borderId="0" xfId="0" applyFont="1" applyFill="1" applyAlignment="1">
      <alignment vertical="top"/>
    </xf>
    <xf numFmtId="3" fontId="6" fillId="2" borderId="0" xfId="0" applyNumberFormat="1" applyFont="1" applyFill="1" applyAlignment="1">
      <alignment vertical="top"/>
    </xf>
    <xf numFmtId="0" fontId="9" fillId="0" borderId="0" xfId="0" applyFont="1" applyAlignment="1">
      <alignment vertical="top"/>
    </xf>
    <xf numFmtId="167" fontId="9" fillId="0" borderId="0" xfId="0" applyNumberFormat="1" applyFont="1" applyAlignment="1">
      <alignment vertical="top"/>
    </xf>
    <xf numFmtId="0" fontId="10" fillId="3" borderId="0" xfId="0" applyFont="1" applyFill="1" applyAlignment="1">
      <alignment horizontal="center" vertical="top"/>
    </xf>
    <xf numFmtId="0" fontId="9" fillId="0" borderId="1" xfId="0" applyFont="1" applyBorder="1" applyAlignment="1">
      <alignment vertical="top"/>
    </xf>
    <xf numFmtId="3" fontId="0" fillId="0" borderId="0" xfId="0" applyNumberFormat="1" applyAlignment="1">
      <alignment vertical="top"/>
    </xf>
    <xf numFmtId="167" fontId="6" fillId="0" borderId="0" xfId="0" applyNumberFormat="1" applyFont="1" applyAlignment="1">
      <alignment vertical="top"/>
    </xf>
    <xf numFmtId="167" fontId="6" fillId="2" borderId="0" xfId="0" applyNumberFormat="1" applyFont="1" applyFill="1" applyAlignment="1">
      <alignment vertical="top"/>
    </xf>
    <xf numFmtId="166" fontId="6" fillId="2" borderId="0" xfId="0" applyNumberFormat="1" applyFont="1" applyFill="1" applyAlignment="1">
      <alignment vertical="top"/>
    </xf>
    <xf numFmtId="164" fontId="1" fillId="0" borderId="5" xfId="0" applyNumberFormat="1" applyFont="1" applyBorder="1" applyAlignment="1">
      <alignment vertical="top"/>
    </xf>
    <xf numFmtId="0" fontId="0" fillId="0" borderId="0" xfId="0" applyBorder="1" applyAlignment="1">
      <alignment vertical="top"/>
    </xf>
    <xf numFmtId="0" fontId="1" fillId="0" borderId="0" xfId="0" applyFont="1" applyBorder="1" applyAlignment="1">
      <alignment vertical="top"/>
    </xf>
    <xf numFmtId="0" fontId="1" fillId="0" borderId="0" xfId="0" applyFont="1" applyBorder="1" applyAlignment="1">
      <alignment vertical="top" wrapText="1"/>
    </xf>
    <xf numFmtId="0" fontId="0" fillId="3" borderId="0" xfId="0" applyFill="1" applyBorder="1" applyAlignment="1">
      <alignment vertical="top"/>
    </xf>
    <xf numFmtId="0" fontId="1" fillId="0" borderId="6" xfId="0" applyFont="1" applyBorder="1" applyAlignment="1">
      <alignment vertical="top"/>
    </xf>
    <xf numFmtId="0" fontId="0" fillId="0" borderId="0" xfId="0" applyBorder="1" applyAlignment="1">
      <alignment vertical="top" wrapText="1"/>
    </xf>
    <xf numFmtId="0" fontId="1" fillId="3" borderId="0" xfId="0" applyFont="1" applyFill="1" applyBorder="1" applyAlignment="1">
      <alignment vertical="top"/>
    </xf>
    <xf numFmtId="0" fontId="0" fillId="0" borderId="6" xfId="0" applyBorder="1" applyAlignment="1">
      <alignment vertical="top"/>
    </xf>
    <xf numFmtId="164" fontId="1" fillId="0" borderId="7" xfId="0" applyNumberFormat="1" applyFont="1" applyBorder="1" applyAlignment="1">
      <alignment vertical="top"/>
    </xf>
    <xf numFmtId="0" fontId="0" fillId="0" borderId="8" xfId="0" applyBorder="1" applyAlignment="1">
      <alignment vertical="top"/>
    </xf>
    <xf numFmtId="0" fontId="1" fillId="0" borderId="8" xfId="0" applyFont="1" applyBorder="1" applyAlignment="1">
      <alignment vertical="top"/>
    </xf>
    <xf numFmtId="0" fontId="1" fillId="0" borderId="8" xfId="0" applyFont="1" applyBorder="1" applyAlignment="1">
      <alignment vertical="top" wrapText="1"/>
    </xf>
    <xf numFmtId="0" fontId="0" fillId="3" borderId="8" xfId="0" applyFill="1" applyBorder="1" applyAlignment="1">
      <alignment vertical="top"/>
    </xf>
    <xf numFmtId="0" fontId="1" fillId="0" borderId="9" xfId="0" applyFont="1" applyBorder="1" applyAlignment="1">
      <alignment vertical="top"/>
    </xf>
    <xf numFmtId="0" fontId="6" fillId="0" borderId="0" xfId="0" applyFont="1" applyAlignment="1">
      <alignment horizontal="right" vertical="top"/>
    </xf>
    <xf numFmtId="0" fontId="11" fillId="4" borderId="10" xfId="0" applyFont="1" applyFill="1" applyBorder="1" applyAlignment="1">
      <alignment vertical="top"/>
    </xf>
    <xf numFmtId="0" fontId="6" fillId="4" borderId="11" xfId="0" applyFont="1" applyFill="1" applyBorder="1" applyAlignment="1">
      <alignment vertical="top"/>
    </xf>
    <xf numFmtId="0" fontId="11" fillId="4" borderId="11" xfId="0" applyFont="1" applyFill="1" applyBorder="1" applyAlignment="1">
      <alignment vertical="top" wrapText="1"/>
    </xf>
    <xf numFmtId="0" fontId="11" fillId="4" borderId="12" xfId="0" applyFont="1" applyFill="1" applyBorder="1" applyAlignment="1">
      <alignment vertical="top" wrapText="1"/>
    </xf>
    <xf numFmtId="0" fontId="5" fillId="0" borderId="2" xfId="0" applyFont="1" applyBorder="1" applyAlignment="1">
      <alignment vertical="top"/>
    </xf>
  </cellXfs>
  <cellStyles count="2">
    <cellStyle name="Normální" xfId="0" builtinId="0"/>
    <cellStyle name="Procenta"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74"/>
  <sheetViews>
    <sheetView tabSelected="1" view="pageBreakPreview" topLeftCell="E27" zoomScale="80" zoomScaleNormal="100" zoomScaleSheetLayoutView="80" workbookViewId="0">
      <selection activeCell="J31" sqref="J31"/>
    </sheetView>
  </sheetViews>
  <sheetFormatPr defaultColWidth="12.6328125" defaultRowHeight="15.75" customHeight="1" x14ac:dyDescent="0.25"/>
  <cols>
    <col min="1" max="1" width="18.90625" style="6" customWidth="1"/>
    <col min="2" max="2" width="12.6328125" style="6"/>
    <col min="3" max="3" width="18.54296875" style="6" customWidth="1"/>
    <col min="4" max="4" width="128.08984375" style="6" customWidth="1"/>
    <col min="5" max="5" width="69" style="6" customWidth="1"/>
    <col min="6" max="6" width="43.54296875" style="6" customWidth="1"/>
    <col min="7" max="10" width="18.90625" style="6" customWidth="1"/>
    <col min="11" max="11" width="22.36328125" style="6" customWidth="1"/>
    <col min="12" max="12" width="19.90625" style="6" customWidth="1"/>
    <col min="13" max="14" width="18.90625" style="6" customWidth="1"/>
    <col min="15" max="16384" width="12.6328125" style="6"/>
  </cols>
  <sheetData>
    <row r="1" spans="1:12" ht="91" x14ac:dyDescent="0.25">
      <c r="A1" s="45" t="s">
        <v>0</v>
      </c>
      <c r="B1" s="46"/>
      <c r="C1" s="47" t="s">
        <v>1</v>
      </c>
      <c r="D1" s="47" t="s">
        <v>2</v>
      </c>
      <c r="E1" s="47" t="s">
        <v>3</v>
      </c>
      <c r="F1" s="47" t="s">
        <v>4</v>
      </c>
      <c r="G1" s="47" t="s">
        <v>5</v>
      </c>
      <c r="H1" s="47" t="s">
        <v>6</v>
      </c>
      <c r="I1" s="48" t="s">
        <v>7</v>
      </c>
      <c r="K1" s="21" t="s">
        <v>124</v>
      </c>
      <c r="L1" s="21" t="s">
        <v>123</v>
      </c>
    </row>
    <row r="2" spans="1:12" ht="79" customHeight="1" x14ac:dyDescent="0.25">
      <c r="A2" s="29">
        <v>45046.564479780092</v>
      </c>
      <c r="B2" s="30"/>
      <c r="C2" s="31" t="s">
        <v>8</v>
      </c>
      <c r="D2" s="32" t="s">
        <v>9</v>
      </c>
      <c r="E2" s="32" t="s">
        <v>10</v>
      </c>
      <c r="F2" s="32" t="s">
        <v>11</v>
      </c>
      <c r="G2" s="33"/>
      <c r="H2" s="31" t="s">
        <v>12</v>
      </c>
      <c r="I2" s="34" t="s">
        <v>8</v>
      </c>
      <c r="K2" s="21">
        <f>50*10+20</f>
        <v>520</v>
      </c>
      <c r="L2" s="21"/>
    </row>
    <row r="3" spans="1:12" ht="66.5" customHeight="1" x14ac:dyDescent="0.25">
      <c r="A3" s="29">
        <v>45046.616758738426</v>
      </c>
      <c r="B3" s="30"/>
      <c r="C3" s="31" t="s">
        <v>8</v>
      </c>
      <c r="D3" s="32" t="s">
        <v>13</v>
      </c>
      <c r="E3" s="32" t="s">
        <v>14</v>
      </c>
      <c r="F3" s="32" t="s">
        <v>15</v>
      </c>
      <c r="G3" s="33"/>
      <c r="H3" s="31" t="s">
        <v>16</v>
      </c>
      <c r="I3" s="34" t="s">
        <v>8</v>
      </c>
      <c r="K3" s="21">
        <v>2</v>
      </c>
      <c r="L3" s="21"/>
    </row>
    <row r="4" spans="1:12" ht="74" customHeight="1" x14ac:dyDescent="0.25">
      <c r="A4" s="29">
        <v>45047.425077939813</v>
      </c>
      <c r="B4" s="30"/>
      <c r="C4" s="31" t="s">
        <v>8</v>
      </c>
      <c r="D4" s="32" t="s">
        <v>17</v>
      </c>
      <c r="E4" s="32" t="s">
        <v>18</v>
      </c>
      <c r="F4" s="32" t="s">
        <v>19</v>
      </c>
      <c r="G4" s="33"/>
      <c r="H4" s="31" t="s">
        <v>12</v>
      </c>
      <c r="I4" s="34" t="s">
        <v>8</v>
      </c>
      <c r="K4" s="21">
        <v>1</v>
      </c>
    </row>
    <row r="5" spans="1:12" ht="65" customHeight="1" x14ac:dyDescent="0.25">
      <c r="A5" s="29">
        <v>45047.429778622682</v>
      </c>
      <c r="B5" s="30"/>
      <c r="C5" s="31" t="s">
        <v>20</v>
      </c>
      <c r="D5" s="32" t="s">
        <v>21</v>
      </c>
      <c r="E5" s="32" t="s">
        <v>22</v>
      </c>
      <c r="F5" s="32" t="s">
        <v>23</v>
      </c>
      <c r="G5" s="33"/>
      <c r="H5" s="31" t="s">
        <v>24</v>
      </c>
      <c r="I5" s="34" t="s">
        <v>8</v>
      </c>
      <c r="K5" s="23" t="s">
        <v>125</v>
      </c>
      <c r="L5" s="23" t="s">
        <v>125</v>
      </c>
    </row>
    <row r="6" spans="1:12" ht="15.75" customHeight="1" x14ac:dyDescent="0.25">
      <c r="A6" s="29">
        <v>45047.445117291667</v>
      </c>
      <c r="B6" s="30"/>
      <c r="C6" s="31" t="s">
        <v>8</v>
      </c>
      <c r="D6" s="32" t="s">
        <v>25</v>
      </c>
      <c r="E6" s="32" t="s">
        <v>26</v>
      </c>
      <c r="F6" s="32" t="s">
        <v>27</v>
      </c>
      <c r="G6" s="33"/>
      <c r="H6" s="31" t="s">
        <v>12</v>
      </c>
      <c r="I6" s="34" t="s">
        <v>8</v>
      </c>
      <c r="K6" s="23" t="s">
        <v>125</v>
      </c>
      <c r="L6" s="22">
        <v>5000</v>
      </c>
    </row>
    <row r="7" spans="1:12" ht="15.75" customHeight="1" x14ac:dyDescent="0.25">
      <c r="A7" s="29">
        <v>45047.713447094909</v>
      </c>
      <c r="B7" s="30"/>
      <c r="C7" s="31" t="s">
        <v>8</v>
      </c>
      <c r="D7" s="35"/>
      <c r="E7" s="35"/>
      <c r="F7" s="35"/>
      <c r="G7" s="36"/>
      <c r="H7" s="30"/>
      <c r="I7" s="37"/>
      <c r="K7" s="23" t="s">
        <v>125</v>
      </c>
      <c r="L7" s="23" t="s">
        <v>125</v>
      </c>
    </row>
    <row r="8" spans="1:12" ht="56" customHeight="1" x14ac:dyDescent="0.25">
      <c r="A8" s="29">
        <v>45048.337686226849</v>
      </c>
      <c r="B8" s="30"/>
      <c r="C8" s="31" t="s">
        <v>20</v>
      </c>
      <c r="D8" s="32" t="s">
        <v>28</v>
      </c>
      <c r="E8" s="32" t="s">
        <v>29</v>
      </c>
      <c r="F8" s="32" t="s">
        <v>30</v>
      </c>
      <c r="G8" s="33"/>
      <c r="H8" s="31" t="s">
        <v>24</v>
      </c>
      <c r="I8" s="34" t="s">
        <v>20</v>
      </c>
      <c r="K8" s="23" t="s">
        <v>125</v>
      </c>
      <c r="L8" s="22">
        <v>30000</v>
      </c>
    </row>
    <row r="9" spans="1:12" ht="44" customHeight="1" x14ac:dyDescent="0.25">
      <c r="A9" s="29">
        <v>45048.349674571757</v>
      </c>
      <c r="B9" s="30"/>
      <c r="C9" s="31" t="s">
        <v>20</v>
      </c>
      <c r="D9" s="32" t="s">
        <v>31</v>
      </c>
      <c r="E9" s="32" t="s">
        <v>32</v>
      </c>
      <c r="F9" s="32" t="s">
        <v>33</v>
      </c>
      <c r="G9" s="36" t="s">
        <v>34</v>
      </c>
      <c r="H9" s="31" t="s">
        <v>16</v>
      </c>
      <c r="I9" s="34" t="s">
        <v>8</v>
      </c>
      <c r="K9" s="21">
        <v>4</v>
      </c>
    </row>
    <row r="10" spans="1:12" ht="48.5" customHeight="1" x14ac:dyDescent="0.25">
      <c r="A10" s="29">
        <v>45048.355835821756</v>
      </c>
      <c r="B10" s="30"/>
      <c r="C10" s="31" t="s">
        <v>20</v>
      </c>
      <c r="D10" s="35"/>
      <c r="E10" s="32" t="s">
        <v>35</v>
      </c>
      <c r="F10" s="32" t="s">
        <v>36</v>
      </c>
      <c r="G10" s="31">
        <v>23000</v>
      </c>
      <c r="H10" s="31" t="s">
        <v>24</v>
      </c>
      <c r="I10" s="34" t="s">
        <v>8</v>
      </c>
      <c r="K10" s="21">
        <f>30+15</f>
        <v>45</v>
      </c>
    </row>
    <row r="11" spans="1:12" ht="19" customHeight="1" x14ac:dyDescent="0.25">
      <c r="A11" s="29">
        <v>45048.428444988429</v>
      </c>
      <c r="B11" s="30"/>
      <c r="C11" s="31" t="s">
        <v>20</v>
      </c>
      <c r="D11" s="32" t="s">
        <v>37</v>
      </c>
      <c r="E11" s="32" t="s">
        <v>38</v>
      </c>
      <c r="F11" s="32" t="s">
        <v>39</v>
      </c>
      <c r="G11" s="31" t="s">
        <v>40</v>
      </c>
      <c r="H11" s="31" t="s">
        <v>16</v>
      </c>
      <c r="I11" s="34" t="s">
        <v>20</v>
      </c>
      <c r="K11" s="23" t="s">
        <v>125</v>
      </c>
      <c r="L11" s="22">
        <v>12500</v>
      </c>
    </row>
    <row r="12" spans="1:12" ht="47.5" customHeight="1" x14ac:dyDescent="0.25">
      <c r="A12" s="29">
        <v>45048.46146762732</v>
      </c>
      <c r="B12" s="30"/>
      <c r="C12" s="31" t="s">
        <v>8</v>
      </c>
      <c r="D12" s="32" t="s">
        <v>41</v>
      </c>
      <c r="E12" s="32" t="s">
        <v>42</v>
      </c>
      <c r="F12" s="32" t="s">
        <v>43</v>
      </c>
      <c r="G12" s="31">
        <v>643</v>
      </c>
      <c r="H12" s="31" t="s">
        <v>16</v>
      </c>
      <c r="I12" s="34" t="s">
        <v>20</v>
      </c>
      <c r="K12" s="21">
        <v>8</v>
      </c>
    </row>
    <row r="13" spans="1:12" ht="15.75" customHeight="1" x14ac:dyDescent="0.25">
      <c r="A13" s="29">
        <v>45048.465453449069</v>
      </c>
      <c r="B13" s="30"/>
      <c r="C13" s="31" t="s">
        <v>20</v>
      </c>
      <c r="D13" s="35"/>
      <c r="E13" s="32" t="s">
        <v>44</v>
      </c>
      <c r="F13" s="32">
        <v>4</v>
      </c>
      <c r="G13" s="33"/>
      <c r="H13" s="30"/>
      <c r="I13" s="34" t="s">
        <v>20</v>
      </c>
      <c r="K13" s="21">
        <f>F13</f>
        <v>4</v>
      </c>
    </row>
    <row r="14" spans="1:12" ht="15.75" customHeight="1" x14ac:dyDescent="0.25">
      <c r="A14" s="29">
        <v>45048.528326562504</v>
      </c>
      <c r="B14" s="30"/>
      <c r="C14" s="31" t="s">
        <v>20</v>
      </c>
      <c r="D14" s="35"/>
      <c r="E14" s="32" t="s">
        <v>45</v>
      </c>
      <c r="F14" s="32">
        <v>40</v>
      </c>
      <c r="G14" s="31">
        <v>85959</v>
      </c>
      <c r="H14" s="31" t="s">
        <v>24</v>
      </c>
      <c r="I14" s="34" t="s">
        <v>8</v>
      </c>
      <c r="K14" s="21">
        <f t="shared" ref="K14:K17" si="0">F14</f>
        <v>40</v>
      </c>
    </row>
    <row r="15" spans="1:12" ht="15.75" customHeight="1" x14ac:dyDescent="0.25">
      <c r="A15" s="29">
        <v>45048.563033124999</v>
      </c>
      <c r="B15" s="30"/>
      <c r="C15" s="31" t="s">
        <v>20</v>
      </c>
      <c r="D15" s="32" t="s">
        <v>46</v>
      </c>
      <c r="E15" s="32" t="s">
        <v>47</v>
      </c>
      <c r="F15" s="32">
        <v>40</v>
      </c>
      <c r="G15" s="33"/>
      <c r="H15" s="31" t="s">
        <v>48</v>
      </c>
      <c r="I15" s="34" t="s">
        <v>8</v>
      </c>
      <c r="K15" s="21">
        <f t="shared" si="0"/>
        <v>40</v>
      </c>
    </row>
    <row r="16" spans="1:12" ht="34.5" customHeight="1" x14ac:dyDescent="0.25">
      <c r="A16" s="29">
        <v>45048.568205277777</v>
      </c>
      <c r="B16" s="30"/>
      <c r="C16" s="31" t="s">
        <v>20</v>
      </c>
      <c r="D16" s="35"/>
      <c r="E16" s="32" t="s">
        <v>49</v>
      </c>
      <c r="F16" s="32" t="s">
        <v>50</v>
      </c>
      <c r="G16" s="31" t="s">
        <v>51</v>
      </c>
      <c r="H16" s="31" t="s">
        <v>24</v>
      </c>
      <c r="I16" s="34" t="s">
        <v>8</v>
      </c>
      <c r="K16" s="21">
        <v>30</v>
      </c>
    </row>
    <row r="17" spans="1:11" ht="15.75" customHeight="1" x14ac:dyDescent="0.25">
      <c r="A17" s="29">
        <v>45048.573828206019</v>
      </c>
      <c r="B17" s="30"/>
      <c r="C17" s="31" t="s">
        <v>8</v>
      </c>
      <c r="D17" s="32" t="s">
        <v>52</v>
      </c>
      <c r="E17" s="32" t="s">
        <v>53</v>
      </c>
      <c r="F17" s="32">
        <v>40</v>
      </c>
      <c r="G17" s="36" t="s">
        <v>54</v>
      </c>
      <c r="H17" s="31" t="s">
        <v>12</v>
      </c>
      <c r="I17" s="34" t="s">
        <v>8</v>
      </c>
      <c r="K17" s="21">
        <f t="shared" si="0"/>
        <v>40</v>
      </c>
    </row>
    <row r="18" spans="1:11" ht="15.75" customHeight="1" x14ac:dyDescent="0.25">
      <c r="A18" s="29">
        <v>45048.69965505787</v>
      </c>
      <c r="B18" s="30"/>
      <c r="C18" s="31" t="s">
        <v>8</v>
      </c>
      <c r="D18" s="32" t="s">
        <v>55</v>
      </c>
      <c r="E18" s="32" t="s">
        <v>56</v>
      </c>
      <c r="F18" s="32" t="s">
        <v>57</v>
      </c>
      <c r="G18" s="31" t="s">
        <v>58</v>
      </c>
      <c r="H18" s="31" t="s">
        <v>48</v>
      </c>
      <c r="I18" s="34" t="s">
        <v>20</v>
      </c>
      <c r="K18" s="21">
        <v>75</v>
      </c>
    </row>
    <row r="19" spans="1:11" ht="34.5" customHeight="1" x14ac:dyDescent="0.25">
      <c r="A19" s="29">
        <v>45048.750721620367</v>
      </c>
      <c r="B19" s="30"/>
      <c r="C19" s="31" t="s">
        <v>20</v>
      </c>
      <c r="D19" s="32" t="s">
        <v>59</v>
      </c>
      <c r="E19" s="32" t="s">
        <v>60</v>
      </c>
      <c r="F19" s="32" t="s">
        <v>61</v>
      </c>
      <c r="G19" s="33"/>
      <c r="H19" s="31" t="s">
        <v>16</v>
      </c>
      <c r="I19" s="34" t="s">
        <v>8</v>
      </c>
      <c r="K19" s="21">
        <v>5</v>
      </c>
    </row>
    <row r="20" spans="1:11" ht="120" customHeight="1" x14ac:dyDescent="0.25">
      <c r="A20" s="29">
        <v>45048.900001655093</v>
      </c>
      <c r="B20" s="30"/>
      <c r="C20" s="31" t="s">
        <v>20</v>
      </c>
      <c r="D20" s="32" t="s">
        <v>62</v>
      </c>
      <c r="E20" s="32" t="s">
        <v>63</v>
      </c>
      <c r="F20" s="32" t="s">
        <v>64</v>
      </c>
      <c r="G20" s="31" t="s">
        <v>65</v>
      </c>
      <c r="H20" s="31" t="s">
        <v>24</v>
      </c>
      <c r="I20" s="34" t="s">
        <v>8</v>
      </c>
      <c r="K20" s="21">
        <v>160</v>
      </c>
    </row>
    <row r="21" spans="1:11" ht="33.5" customHeight="1" x14ac:dyDescent="0.25">
      <c r="A21" s="29">
        <v>45049.570423923607</v>
      </c>
      <c r="B21" s="30"/>
      <c r="C21" s="31" t="s">
        <v>20</v>
      </c>
      <c r="D21" s="32" t="s">
        <v>66</v>
      </c>
      <c r="E21" s="32" t="s">
        <v>67</v>
      </c>
      <c r="F21" s="32">
        <v>20</v>
      </c>
      <c r="G21" s="31">
        <v>53800</v>
      </c>
      <c r="H21" s="31" t="s">
        <v>24</v>
      </c>
      <c r="I21" s="34" t="s">
        <v>8</v>
      </c>
      <c r="K21" s="21">
        <f>F21</f>
        <v>20</v>
      </c>
    </row>
    <row r="22" spans="1:11" ht="34" customHeight="1" x14ac:dyDescent="0.25">
      <c r="A22" s="29">
        <v>45050.454003969906</v>
      </c>
      <c r="B22" s="30"/>
      <c r="C22" s="31" t="s">
        <v>8</v>
      </c>
      <c r="D22" s="35"/>
      <c r="E22" s="32" t="s">
        <v>68</v>
      </c>
      <c r="F22" s="32">
        <v>50</v>
      </c>
      <c r="G22" s="31">
        <v>4915</v>
      </c>
      <c r="H22" s="31" t="s">
        <v>12</v>
      </c>
      <c r="I22" s="34" t="s">
        <v>20</v>
      </c>
      <c r="K22" s="21">
        <f>F22</f>
        <v>50</v>
      </c>
    </row>
    <row r="23" spans="1:11" ht="15.75" customHeight="1" x14ac:dyDescent="0.25">
      <c r="A23" s="29">
        <v>45050.497605081022</v>
      </c>
      <c r="B23" s="30"/>
      <c r="C23" s="31" t="s">
        <v>20</v>
      </c>
      <c r="D23" s="32" t="s">
        <v>69</v>
      </c>
      <c r="E23" s="32" t="s">
        <v>70</v>
      </c>
      <c r="F23" s="32">
        <v>3</v>
      </c>
      <c r="G23" s="33"/>
      <c r="H23" s="31" t="s">
        <v>12</v>
      </c>
      <c r="I23" s="34" t="s">
        <v>8</v>
      </c>
      <c r="K23" s="21">
        <f>F23</f>
        <v>3</v>
      </c>
    </row>
    <row r="24" spans="1:11" ht="60" customHeight="1" x14ac:dyDescent="0.25">
      <c r="A24" s="29">
        <v>45050.795272824078</v>
      </c>
      <c r="B24" s="30"/>
      <c r="C24" s="31" t="s">
        <v>8</v>
      </c>
      <c r="D24" s="32" t="s">
        <v>71</v>
      </c>
      <c r="E24" s="32" t="s">
        <v>72</v>
      </c>
      <c r="F24" s="32" t="s">
        <v>73</v>
      </c>
      <c r="G24" s="36" t="s">
        <v>74</v>
      </c>
      <c r="H24" s="31" t="s">
        <v>48</v>
      </c>
      <c r="I24" s="34" t="s">
        <v>8</v>
      </c>
      <c r="K24" s="21">
        <v>100</v>
      </c>
    </row>
    <row r="25" spans="1:11" ht="15.75" customHeight="1" x14ac:dyDescent="0.25">
      <c r="A25" s="29">
        <v>45051.310718807872</v>
      </c>
      <c r="B25" s="30"/>
      <c r="C25" s="31" t="s">
        <v>20</v>
      </c>
      <c r="D25" s="32" t="s">
        <v>75</v>
      </c>
      <c r="E25" s="32" t="s">
        <v>76</v>
      </c>
      <c r="F25" s="32" t="s">
        <v>77</v>
      </c>
      <c r="G25" s="33"/>
      <c r="H25" s="31" t="s">
        <v>12</v>
      </c>
      <c r="I25" s="34" t="s">
        <v>20</v>
      </c>
      <c r="K25" s="21">
        <v>8</v>
      </c>
    </row>
    <row r="26" spans="1:11" ht="15.75" customHeight="1" x14ac:dyDescent="0.25">
      <c r="A26" s="29">
        <v>45051.446750277777</v>
      </c>
      <c r="B26" s="30"/>
      <c r="C26" s="31" t="s">
        <v>20</v>
      </c>
      <c r="D26" s="32" t="s">
        <v>78</v>
      </c>
      <c r="E26" s="32" t="s">
        <v>79</v>
      </c>
      <c r="F26" s="32">
        <v>24</v>
      </c>
      <c r="G26" s="31">
        <v>0</v>
      </c>
      <c r="H26" s="31" t="s">
        <v>16</v>
      </c>
      <c r="I26" s="34" t="s">
        <v>8</v>
      </c>
      <c r="K26" s="21">
        <f>F26</f>
        <v>24</v>
      </c>
    </row>
    <row r="27" spans="1:11" ht="15.75" customHeight="1" x14ac:dyDescent="0.25">
      <c r="A27" s="29">
        <v>45051.47323142361</v>
      </c>
      <c r="B27" s="30"/>
      <c r="C27" s="31" t="s">
        <v>8</v>
      </c>
      <c r="D27" s="32" t="s">
        <v>80</v>
      </c>
      <c r="E27" s="32" t="s">
        <v>81</v>
      </c>
      <c r="F27" s="32">
        <v>8</v>
      </c>
      <c r="G27" s="31">
        <v>76000</v>
      </c>
      <c r="H27" s="31" t="s">
        <v>24</v>
      </c>
      <c r="I27" s="34" t="s">
        <v>8</v>
      </c>
      <c r="K27" s="21">
        <f>F27</f>
        <v>8</v>
      </c>
    </row>
    <row r="28" spans="1:11" ht="39.5" customHeight="1" x14ac:dyDescent="0.25">
      <c r="A28" s="29">
        <v>45051.475192106482</v>
      </c>
      <c r="B28" s="30"/>
      <c r="C28" s="31" t="s">
        <v>8</v>
      </c>
      <c r="D28" s="32" t="s">
        <v>82</v>
      </c>
      <c r="E28" s="32" t="s">
        <v>83</v>
      </c>
      <c r="F28" s="32" t="s">
        <v>84</v>
      </c>
      <c r="G28" s="33"/>
      <c r="H28" s="31" t="s">
        <v>12</v>
      </c>
      <c r="I28" s="34" t="s">
        <v>8</v>
      </c>
      <c r="K28" s="21">
        <v>24</v>
      </c>
    </row>
    <row r="29" spans="1:11" ht="51.5" customHeight="1" x14ac:dyDescent="0.25">
      <c r="A29" s="29">
        <v>45051.515689583335</v>
      </c>
      <c r="B29" s="30"/>
      <c r="C29" s="31" t="s">
        <v>20</v>
      </c>
      <c r="D29" s="32" t="s">
        <v>85</v>
      </c>
      <c r="E29" s="32" t="s">
        <v>86</v>
      </c>
      <c r="F29" s="32">
        <v>300</v>
      </c>
      <c r="G29" s="31">
        <v>12000</v>
      </c>
      <c r="H29" s="31" t="s">
        <v>24</v>
      </c>
      <c r="I29" s="34" t="s">
        <v>20</v>
      </c>
      <c r="K29" s="21">
        <f>F29</f>
        <v>300</v>
      </c>
    </row>
    <row r="30" spans="1:11" ht="15.75" customHeight="1" x14ac:dyDescent="0.25">
      <c r="A30" s="29">
        <v>45051.701393194446</v>
      </c>
      <c r="B30" s="30"/>
      <c r="C30" s="31" t="s">
        <v>20</v>
      </c>
      <c r="D30" s="32" t="s">
        <v>87</v>
      </c>
      <c r="E30" s="32" t="s">
        <v>88</v>
      </c>
      <c r="F30" s="32" t="s">
        <v>89</v>
      </c>
      <c r="G30" s="31">
        <v>16350</v>
      </c>
      <c r="H30" s="31" t="s">
        <v>24</v>
      </c>
      <c r="I30" s="34" t="s">
        <v>20</v>
      </c>
      <c r="K30" s="21">
        <v>27</v>
      </c>
    </row>
    <row r="31" spans="1:11" ht="70.5" customHeight="1" x14ac:dyDescent="0.25">
      <c r="A31" s="29">
        <v>45051.75852768519</v>
      </c>
      <c r="B31" s="30"/>
      <c r="C31" s="31" t="s">
        <v>20</v>
      </c>
      <c r="D31" s="32" t="s">
        <v>90</v>
      </c>
      <c r="E31" s="32" t="s">
        <v>91</v>
      </c>
      <c r="F31" s="32">
        <v>16</v>
      </c>
      <c r="G31" s="31" t="s">
        <v>92</v>
      </c>
      <c r="H31" s="31" t="s">
        <v>12</v>
      </c>
      <c r="I31" s="34" t="s">
        <v>8</v>
      </c>
      <c r="K31" s="21">
        <f>F31</f>
        <v>16</v>
      </c>
    </row>
    <row r="32" spans="1:11" ht="15.75" customHeight="1" x14ac:dyDescent="0.25">
      <c r="A32" s="29">
        <v>45053.655003240739</v>
      </c>
      <c r="B32" s="30"/>
      <c r="C32" s="31" t="s">
        <v>20</v>
      </c>
      <c r="D32" s="32" t="s">
        <v>75</v>
      </c>
      <c r="E32" s="32" t="s">
        <v>93</v>
      </c>
      <c r="F32" s="32">
        <v>20</v>
      </c>
      <c r="G32" s="33"/>
      <c r="H32" s="31" t="s">
        <v>12</v>
      </c>
      <c r="I32" s="34" t="s">
        <v>8</v>
      </c>
      <c r="K32" s="21">
        <f>F32</f>
        <v>20</v>
      </c>
    </row>
    <row r="33" spans="1:12" ht="25" x14ac:dyDescent="0.25">
      <c r="A33" s="29">
        <v>45055.503650833329</v>
      </c>
      <c r="B33" s="30"/>
      <c r="C33" s="31" t="s">
        <v>20</v>
      </c>
      <c r="D33" s="32" t="s">
        <v>94</v>
      </c>
      <c r="E33" s="32" t="s">
        <v>95</v>
      </c>
      <c r="F33" s="32">
        <v>30</v>
      </c>
      <c r="G33" s="36" t="s">
        <v>96</v>
      </c>
      <c r="H33" s="31" t="s">
        <v>24</v>
      </c>
      <c r="I33" s="34" t="s">
        <v>20</v>
      </c>
      <c r="K33" s="21">
        <f>F33</f>
        <v>30</v>
      </c>
    </row>
    <row r="34" spans="1:12" ht="37.5" x14ac:dyDescent="0.25">
      <c r="A34" s="29">
        <v>45055.570278553241</v>
      </c>
      <c r="B34" s="30"/>
      <c r="C34" s="31" t="s">
        <v>8</v>
      </c>
      <c r="D34" s="32" t="s">
        <v>97</v>
      </c>
      <c r="E34" s="32" t="s">
        <v>98</v>
      </c>
      <c r="F34" s="32" t="s">
        <v>99</v>
      </c>
      <c r="G34" s="31" t="s">
        <v>100</v>
      </c>
      <c r="H34" s="31" t="s">
        <v>48</v>
      </c>
      <c r="I34" s="34" t="s">
        <v>8</v>
      </c>
      <c r="K34" s="23" t="s">
        <v>125</v>
      </c>
      <c r="L34" s="22">
        <v>500000</v>
      </c>
    </row>
    <row r="35" spans="1:12" ht="25" x14ac:dyDescent="0.25">
      <c r="A35" s="29">
        <v>45055.584318738431</v>
      </c>
      <c r="B35" s="30"/>
      <c r="C35" s="31" t="s">
        <v>20</v>
      </c>
      <c r="D35" s="32" t="s">
        <v>101</v>
      </c>
      <c r="E35" s="32" t="s">
        <v>102</v>
      </c>
      <c r="F35" s="32">
        <v>18</v>
      </c>
      <c r="G35" s="31">
        <v>2500</v>
      </c>
      <c r="H35" s="31" t="s">
        <v>12</v>
      </c>
      <c r="I35" s="34" t="s">
        <v>8</v>
      </c>
      <c r="K35" s="21">
        <f>F35</f>
        <v>18</v>
      </c>
    </row>
    <row r="36" spans="1:12" ht="12.5" x14ac:dyDescent="0.25">
      <c r="A36" s="29">
        <v>45055.621700763892</v>
      </c>
      <c r="B36" s="30"/>
      <c r="C36" s="31" t="s">
        <v>20</v>
      </c>
      <c r="D36" s="32" t="s">
        <v>103</v>
      </c>
      <c r="E36" s="32" t="s">
        <v>88</v>
      </c>
      <c r="F36" s="32" t="s">
        <v>104</v>
      </c>
      <c r="G36" s="33"/>
      <c r="H36" s="31" t="s">
        <v>12</v>
      </c>
      <c r="I36" s="34" t="s">
        <v>8</v>
      </c>
      <c r="K36" s="21">
        <f>5*10</f>
        <v>50</v>
      </c>
    </row>
    <row r="37" spans="1:12" ht="50" x14ac:dyDescent="0.25">
      <c r="A37" s="29">
        <v>45055.700227928246</v>
      </c>
      <c r="B37" s="30"/>
      <c r="C37" s="31" t="s">
        <v>20</v>
      </c>
      <c r="D37" s="32" t="s">
        <v>105</v>
      </c>
      <c r="E37" s="32" t="s">
        <v>106</v>
      </c>
      <c r="F37" s="32" t="s">
        <v>107</v>
      </c>
      <c r="G37" s="31">
        <v>24625</v>
      </c>
      <c r="H37" s="31" t="s">
        <v>24</v>
      </c>
      <c r="I37" s="34" t="s">
        <v>20</v>
      </c>
      <c r="K37" s="21">
        <v>55</v>
      </c>
    </row>
    <row r="38" spans="1:12" ht="12.5" x14ac:dyDescent="0.25">
      <c r="A38" s="29">
        <v>45056.397300694443</v>
      </c>
      <c r="B38" s="30"/>
      <c r="C38" s="31" t="s">
        <v>20</v>
      </c>
      <c r="D38" s="32" t="s">
        <v>108</v>
      </c>
      <c r="E38" s="32" t="s">
        <v>109</v>
      </c>
      <c r="F38" s="32" t="s">
        <v>110</v>
      </c>
      <c r="G38" s="33"/>
      <c r="H38" s="31" t="s">
        <v>12</v>
      </c>
      <c r="I38" s="34" t="s">
        <v>8</v>
      </c>
      <c r="K38" s="21">
        <v>8</v>
      </c>
    </row>
    <row r="39" spans="1:12" ht="50.5" thickBot="1" x14ac:dyDescent="0.3">
      <c r="A39" s="38">
        <v>45057.499410173608</v>
      </c>
      <c r="B39" s="39"/>
      <c r="C39" s="40" t="s">
        <v>8</v>
      </c>
      <c r="D39" s="41" t="s">
        <v>111</v>
      </c>
      <c r="E39" s="41" t="s">
        <v>112</v>
      </c>
      <c r="F39" s="41">
        <v>48</v>
      </c>
      <c r="G39" s="42"/>
      <c r="H39" s="40" t="s">
        <v>12</v>
      </c>
      <c r="I39" s="43" t="s">
        <v>20</v>
      </c>
      <c r="K39" s="24">
        <f>F39</f>
        <v>48</v>
      </c>
    </row>
    <row r="40" spans="1:12" ht="15.75" customHeight="1" x14ac:dyDescent="0.25">
      <c r="C40" s="7" t="s">
        <v>114</v>
      </c>
      <c r="D40" s="5" t="s">
        <v>114</v>
      </c>
      <c r="E40" s="5" t="s">
        <v>114</v>
      </c>
      <c r="F40" s="5" t="s">
        <v>114</v>
      </c>
      <c r="G40" s="5" t="s">
        <v>114</v>
      </c>
      <c r="H40" s="5" t="s">
        <v>114</v>
      </c>
      <c r="I40" s="7" t="s">
        <v>114</v>
      </c>
      <c r="K40" s="11" t="s">
        <v>126</v>
      </c>
      <c r="L40" s="11" t="s">
        <v>128</v>
      </c>
    </row>
    <row r="41" spans="1:12" ht="15.75" customHeight="1" x14ac:dyDescent="0.25">
      <c r="C41" s="6">
        <f>COUNTA(C2:C39)</f>
        <v>38</v>
      </c>
      <c r="D41" s="6">
        <f>COUNTA(D2:D39)</f>
        <v>32</v>
      </c>
      <c r="E41" s="6">
        <f>COUNTA(E2:E39)</f>
        <v>37</v>
      </c>
      <c r="F41" s="6">
        <f>COUNTA(F2:F39)</f>
        <v>37</v>
      </c>
      <c r="G41" s="6">
        <f>COUNTA(G2:G39)</f>
        <v>21</v>
      </c>
      <c r="H41" s="6">
        <f>COUNTA(H2:H39)</f>
        <v>36</v>
      </c>
      <c r="I41" s="6">
        <f>COUNTA(I2:I39)</f>
        <v>37</v>
      </c>
      <c r="K41" s="6">
        <f>COUNT(K2:K39)</f>
        <v>32</v>
      </c>
      <c r="L41" s="6">
        <f>COUNT(L2:L39)</f>
        <v>4</v>
      </c>
    </row>
    <row r="42" spans="1:12" ht="15.75" customHeight="1" x14ac:dyDescent="0.25">
      <c r="D42" s="44" t="s">
        <v>135</v>
      </c>
    </row>
    <row r="43" spans="1:12" ht="15.75" customHeight="1" x14ac:dyDescent="0.25">
      <c r="C43" s="5" t="s">
        <v>113</v>
      </c>
      <c r="I43" s="5" t="s">
        <v>113</v>
      </c>
      <c r="K43" s="11" t="s">
        <v>127</v>
      </c>
      <c r="L43" s="11" t="s">
        <v>129</v>
      </c>
    </row>
    <row r="44" spans="1:12" ht="15.75" customHeight="1" x14ac:dyDescent="0.25">
      <c r="C44" s="8" t="s">
        <v>8</v>
      </c>
      <c r="G44" s="7" t="s">
        <v>118</v>
      </c>
      <c r="I44" s="8" t="s">
        <v>8</v>
      </c>
      <c r="K44" s="25">
        <f>SUM(K2:K39)</f>
        <v>1783</v>
      </c>
      <c r="L44" s="26">
        <f>SUM(L2:L39)</f>
        <v>547500</v>
      </c>
    </row>
    <row r="45" spans="1:12" ht="15.75" customHeight="1" x14ac:dyDescent="0.25">
      <c r="C45" s="9">
        <f>COUNTA(C2:C4,C6:C7,C12,C17:C18,C22,C24,C27:C28,C34,C39)</f>
        <v>14</v>
      </c>
      <c r="G45" s="6">
        <f>COUNTA(G10:G12,G14,G16,G17,G18,G20:G22,G26:G31,G34:G39)</f>
        <v>18</v>
      </c>
      <c r="I45" s="9">
        <f>COUNTA(I2:I6,I9:I10,I14:I17,I19:I21,I23:I24,I26:I28,I31:I32,I34:I36,I38)</f>
        <v>25</v>
      </c>
      <c r="K45" s="11" t="s">
        <v>130</v>
      </c>
    </row>
    <row r="46" spans="1:12" ht="15.75" customHeight="1" x14ac:dyDescent="0.25">
      <c r="C46" s="10">
        <f>C45/C41</f>
        <v>0.36842105263157893</v>
      </c>
      <c r="I46" s="10">
        <f>I45/I41</f>
        <v>0.67567567567567566</v>
      </c>
      <c r="K46" s="26">
        <f>K44*500</f>
        <v>891500</v>
      </c>
    </row>
    <row r="47" spans="1:12" ht="15.75" customHeight="1" x14ac:dyDescent="0.25">
      <c r="C47" s="8" t="s">
        <v>20</v>
      </c>
      <c r="G47" s="11" t="s">
        <v>117</v>
      </c>
      <c r="H47" s="5" t="s">
        <v>113</v>
      </c>
      <c r="I47" s="8" t="s">
        <v>20</v>
      </c>
      <c r="K47" s="11" t="s">
        <v>131</v>
      </c>
    </row>
    <row r="48" spans="1:12" ht="15.75" customHeight="1" x14ac:dyDescent="0.25">
      <c r="C48" s="9">
        <f>COUNTA(C5,C8:C11,C13:C16,C19:C21,C23,C25:C26,C29:C33,C35:C38)</f>
        <v>24</v>
      </c>
      <c r="G48" s="12" t="s">
        <v>16</v>
      </c>
      <c r="H48" s="49" t="s">
        <v>16</v>
      </c>
      <c r="I48" s="9">
        <f>COUNTA(I8,I11:I13,I18,I22,I25,I29:I30,I33,I37,I39)</f>
        <v>12</v>
      </c>
      <c r="K48" s="26">
        <f>K44*1000</f>
        <v>1783000</v>
      </c>
    </row>
    <row r="49" spans="3:12" ht="15.75" customHeight="1" x14ac:dyDescent="0.25">
      <c r="C49" s="10">
        <f>C48/C41</f>
        <v>0.63157894736842102</v>
      </c>
      <c r="G49" s="13">
        <f>COUNTA(H3,H9,H19)</f>
        <v>3</v>
      </c>
      <c r="H49" s="14">
        <f>COUNTA(H3,H9,H11:H12,H19,H26)</f>
        <v>6</v>
      </c>
      <c r="I49" s="10">
        <f>I48/I41</f>
        <v>0.32432432432432434</v>
      </c>
    </row>
    <row r="50" spans="3:12" ht="15.75" customHeight="1" x14ac:dyDescent="0.25">
      <c r="G50" s="15">
        <f>G49/G45</f>
        <v>0.16666666666666666</v>
      </c>
      <c r="H50" s="15">
        <f>H49/H41</f>
        <v>0.16666666666666666</v>
      </c>
      <c r="K50" s="19" t="s">
        <v>132</v>
      </c>
      <c r="L50" s="27">
        <f>K46+L44</f>
        <v>1439000</v>
      </c>
    </row>
    <row r="51" spans="3:12" ht="15.75" customHeight="1" x14ac:dyDescent="0.25">
      <c r="G51" s="12" t="s">
        <v>12</v>
      </c>
      <c r="H51" s="12" t="s">
        <v>12</v>
      </c>
      <c r="K51" s="19" t="s">
        <v>133</v>
      </c>
      <c r="L51" s="27">
        <f>K48+L44</f>
        <v>2330500</v>
      </c>
    </row>
    <row r="52" spans="3:12" ht="15.75" customHeight="1" x14ac:dyDescent="0.25">
      <c r="G52" s="13">
        <f>COUNTA(H2,H4,H6,H17,H23,H25,H28,H32,H36,H38:H39)</f>
        <v>11</v>
      </c>
      <c r="H52" s="14">
        <f>COUNTA(H2,H4,H6,H17,H22:H23,H25,H28,H31:H32,H35:H36,H38:H39)</f>
        <v>14</v>
      </c>
    </row>
    <row r="53" spans="3:12" ht="15.75" customHeight="1" x14ac:dyDescent="0.25">
      <c r="G53" s="15">
        <f>G52/G45</f>
        <v>0.61111111111111116</v>
      </c>
      <c r="H53" s="15">
        <f>H52/H41</f>
        <v>0.3888888888888889</v>
      </c>
      <c r="K53" s="19" t="s">
        <v>134</v>
      </c>
      <c r="L53" s="28">
        <f>L51/G74</f>
        <v>1.6704303015554964</v>
      </c>
    </row>
    <row r="54" spans="3:12" ht="15.75" customHeight="1" x14ac:dyDescent="0.25">
      <c r="G54" s="12" t="s">
        <v>24</v>
      </c>
      <c r="H54" s="12" t="s">
        <v>24</v>
      </c>
    </row>
    <row r="55" spans="3:12" ht="15.75" customHeight="1" x14ac:dyDescent="0.25">
      <c r="G55" s="13">
        <f>COUNTA(H5,H8,H33)</f>
        <v>3</v>
      </c>
      <c r="H55" s="14">
        <f>COUNTA(H5,H8,H10,H14,H16,H20:H21,H27,H29:H30,H33,H37)</f>
        <v>12</v>
      </c>
    </row>
    <row r="56" spans="3:12" ht="15.75" customHeight="1" x14ac:dyDescent="0.25">
      <c r="G56" s="15">
        <f>G55/G45</f>
        <v>0.16666666666666666</v>
      </c>
      <c r="H56" s="15">
        <f>H55/H41</f>
        <v>0.33333333333333331</v>
      </c>
    </row>
    <row r="57" spans="3:12" ht="15.75" customHeight="1" x14ac:dyDescent="0.25">
      <c r="G57" s="12" t="s">
        <v>48</v>
      </c>
      <c r="H57" s="12" t="s">
        <v>48</v>
      </c>
    </row>
    <row r="58" spans="3:12" ht="15.75" customHeight="1" x14ac:dyDescent="0.25">
      <c r="G58" s="13">
        <f>COUNTA(H24)</f>
        <v>1</v>
      </c>
      <c r="H58" s="14">
        <f>COUNTA(H15,H18,H24,H34)</f>
        <v>4</v>
      </c>
    </row>
    <row r="59" spans="3:12" ht="15.75" customHeight="1" x14ac:dyDescent="0.25">
      <c r="G59" s="15">
        <f>G58/G45</f>
        <v>5.5555555555555552E-2</v>
      </c>
      <c r="H59" s="15">
        <f>H58/H41</f>
        <v>0.1111111111111111</v>
      </c>
    </row>
    <row r="60" spans="3:12" ht="15.75" customHeight="1" x14ac:dyDescent="0.25">
      <c r="G60" s="16">
        <f>SUM(G49,G52,G55,G58)-G45</f>
        <v>0</v>
      </c>
      <c r="H60" s="16">
        <f>SUM(H49,H52,H55,H58)-H41</f>
        <v>0</v>
      </c>
    </row>
    <row r="61" spans="3:12" ht="15.75" customHeight="1" x14ac:dyDescent="0.25">
      <c r="G61" s="17" t="s">
        <v>115</v>
      </c>
      <c r="H61" s="17" t="s">
        <v>115</v>
      </c>
    </row>
    <row r="62" spans="3:12" ht="15.75" customHeight="1" x14ac:dyDescent="0.25">
      <c r="G62" s="1"/>
      <c r="H62" s="3"/>
    </row>
    <row r="63" spans="3:12" ht="15.75" customHeight="1" x14ac:dyDescent="0.25">
      <c r="G63" s="1" t="s">
        <v>119</v>
      </c>
      <c r="H63" s="3" t="s">
        <v>119</v>
      </c>
    </row>
    <row r="64" spans="3:12" ht="15.75" customHeight="1" x14ac:dyDescent="0.25">
      <c r="G64" s="2">
        <f>100*G49+1001*G52+10001*G55+100001*G58</f>
        <v>141315</v>
      </c>
      <c r="H64" s="4">
        <f>100*H49+1001*H52+10001*H55+100001*H58</f>
        <v>534630</v>
      </c>
    </row>
    <row r="65" spans="7:8" ht="15.75" customHeight="1" x14ac:dyDescent="0.25">
      <c r="G65" s="1" t="s">
        <v>120</v>
      </c>
      <c r="H65" s="3" t="s">
        <v>120</v>
      </c>
    </row>
    <row r="66" spans="7:8" ht="15.75" customHeight="1" x14ac:dyDescent="0.25">
      <c r="G66" s="2">
        <f>1000*G49+1000*G52+100000*G55+200000*G58</f>
        <v>514000</v>
      </c>
      <c r="H66" s="4">
        <f>1000*H49+1000*H52+100000*H55+200000*H58</f>
        <v>2020000</v>
      </c>
    </row>
    <row r="67" spans="7:8" ht="15.75" customHeight="1" x14ac:dyDescent="0.25">
      <c r="G67" s="1" t="s">
        <v>121</v>
      </c>
      <c r="H67" s="3" t="s">
        <v>121</v>
      </c>
    </row>
    <row r="68" spans="7:8" ht="15.75" customHeight="1" x14ac:dyDescent="0.25">
      <c r="G68" s="2">
        <f>AVERAGE(G64,G66)</f>
        <v>327657.5</v>
      </c>
      <c r="H68" s="18">
        <f>AVERAGE(H64,H66)</f>
        <v>1277315</v>
      </c>
    </row>
    <row r="70" spans="7:8" ht="15.75" customHeight="1" x14ac:dyDescent="0.25">
      <c r="G70" s="1" t="s">
        <v>116</v>
      </c>
    </row>
    <row r="71" spans="7:8" ht="15.75" customHeight="1" x14ac:dyDescent="0.25">
      <c r="G71" s="2">
        <f>SUM(G10,G12,G14,G21,G22,G26,G27,G29,G30,G35,G37)+200+42000+100000+24000+1500+600000</f>
        <v>1067492</v>
      </c>
    </row>
    <row r="73" spans="7:8" ht="15.75" customHeight="1" x14ac:dyDescent="0.25">
      <c r="G73" s="19" t="s">
        <v>122</v>
      </c>
    </row>
    <row r="74" spans="7:8" ht="15.75" customHeight="1" x14ac:dyDescent="0.25">
      <c r="G74" s="20">
        <f>SUM(G68,G71)</f>
        <v>1395149.5</v>
      </c>
    </row>
  </sheetData>
  <pageMargins left="0.7" right="0.7" top="0.78740157499999996" bottom="0.78740157499999996" header="0.3" footer="0.3"/>
  <pageSetup paperSize="8" scale="46" orientation="landscape"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61F46-8AC2-4FEE-9E1C-BD7F85DAF2E8}">
  <dimension ref="A1"/>
  <sheetViews>
    <sheetView workbookViewId="0"/>
  </sheetViews>
  <sheetFormatPr defaultRowHeight="12.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1B6DCD8F793024C93A6C339F3384075" ma:contentTypeVersion="14" ma:contentTypeDescription="Vytvoří nový dokument" ma:contentTypeScope="" ma:versionID="2921b25153aeac51921ce13b3160941f">
  <xsd:schema xmlns:xsd="http://www.w3.org/2001/XMLSchema" xmlns:xs="http://www.w3.org/2001/XMLSchema" xmlns:p="http://schemas.microsoft.com/office/2006/metadata/properties" xmlns:ns2="c26579a5-5174-4fae-bc3c-b1c4c1a2b79a" xmlns:ns3="8b8363e0-cd5c-4733-8867-50f840d3c4de" targetNamespace="http://schemas.microsoft.com/office/2006/metadata/properties" ma:root="true" ma:fieldsID="38060b641292340f2fc7894184a3aaa9" ns2:_="" ns3:_="">
    <xsd:import namespace="c26579a5-5174-4fae-bc3c-b1c4c1a2b79a"/>
    <xsd:import namespace="8b8363e0-cd5c-4733-8867-50f840d3c4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6579a5-5174-4fae-bc3c-b1c4c1a2b7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Značky obrázků" ma:readOnly="false" ma:fieldId="{5cf76f15-5ced-4ddc-b409-7134ff3c332f}" ma:taxonomyMulti="true" ma:sspId="26371ece-44d0-44aa-8ffc-76967dff58e4"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8363e0-cd5c-4733-8867-50f840d3c4d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38826ed-f40c-4de2-9481-72026bc777e1}" ma:internalName="TaxCatchAll" ma:showField="CatchAllData" ma:web="8b8363e0-cd5c-4733-8867-50f840d3c4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FDFC3A-5CA6-440B-883E-482CCA4689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6579a5-5174-4fae-bc3c-b1c4c1a2b79a"/>
    <ds:schemaRef ds:uri="8b8363e0-cd5c-4733-8867-50f840d3c4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219C65-D4E2-4F08-87CB-E7155BF76F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Odpovědi formuláře 1</vt: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Rejzek</dc:creator>
  <cp:lastModifiedBy>Jan Broucek</cp:lastModifiedBy>
  <dcterms:created xsi:type="dcterms:W3CDTF">2023-05-16T09:42:32Z</dcterms:created>
  <dcterms:modified xsi:type="dcterms:W3CDTF">2023-06-02T15:24:03Z</dcterms:modified>
</cp:coreProperties>
</file>